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<sst xmlns="http://schemas.openxmlformats.org/spreadsheetml/2006/main" count="1601" uniqueCount="316">
  <si>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</si>
  <si>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</si>
  <si>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</si>
  <si>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</si>
  <si>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</si>
  <si>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</si>
  <si>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</si>
  <si>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</si>
  <si>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</si>
  <si>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</si>
  <si>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</si>
  <si>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</si>
  <si>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</si>
  <si>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</si>
  <si>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</si>
  <si>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</si>
  <si>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</si>
  <si>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</si>
  <si>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</si>
  <si>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</si>
  <si>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</si>
  <si>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</si>
  <si>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</si>
  <si>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</si>
  <si>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</si>
  <si>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</si>
  <si>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</si>
  <si>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</si>
  <si>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</si>
  <si>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</si>
  <si>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</si>
  <si>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</si>
  <si>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</si>
  <si>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</si>
  <si>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</si>
  <si>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</si>
  <si>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</si>
  <si>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</si>
  <si>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</si>
  <si>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</si>
  <si>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</si>
  <si>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</si>
  <si>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</si>
  <si>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</si>
  <si>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</si>
  <si>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</si>
  <si>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</si>
  <si>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</si>
  <si>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</si>
  <si>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</si>
  <si>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</si>
  <si>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</si>
  <si>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</si>
  <si>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</si>
  <si>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</si>
  <si>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</si>
  <si>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</si>
  <si>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</si>
  <si>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</si>
  <si>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</si>
  <si>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</si>
  <si>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</si>
  <si>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</si>
  <si>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</si>
  <si>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</si>
  <si>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</si>
  <si>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</si>
  <si>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</si>
  <si>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</si>
  <si>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</si>
  <si>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</si>
  <si>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</si>
  <si>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</si>
  <si>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</si>
  <si>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</si>
  <si>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</si>
  <si>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</si>
  <si>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</si>
  <si>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</si>
  <si>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</si>
  <si>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</si>
  <si>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</si>
  <si>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</si>
  <si>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</si>
  <si>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</si>
  <si>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</si>
  <si>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</si>
  <si>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</si>
  <si>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</si>
  <si>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</si>
  <si>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</si>
  <si>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</si>
  <si>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</si>
  <si>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</si>
  <si>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</si>
  <si>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</si>
  <si>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</si>
  <si>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</si>
  <si>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</si>
  <si>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</si>
  <si>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</si>
  <si>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</si>
  <si>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</si>
  <si>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</si>
  <si>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</si>
  <si>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</si>
  <si>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</si>
  <si>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</si>
  <si>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</si>
  <si>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</si>
  <si>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</si>
  <si>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</si>
  <si>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</si>
  <si>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</si>
  <si>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</si>
  <si>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</si>
  <si>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</si>
  <si>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</si>
  <si>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</si>
  <si>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</si>
  <si>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</si>
  <si>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</si>
  <si>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</si>
  <si>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</si>
  <si>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</si>
  <si>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</si>
  <si>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</si>
  <si>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</si>
  <si>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</si>
  <si>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</si>
  <si>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</si>
  <si>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</si>
  <si>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</si>
  <si>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</si>
  <si>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</si>
  <si>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</si>
  <si>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</si>
  <si>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</si>
  <si>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</si>
  <si>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</si>
  <si>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</si>
  <si>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</si>
  <si>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</si>
  <si>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</si>
  <si>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</si>
  <si>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</si>
  <si>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</si>
  <si>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</si>
  <si>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</si>
  <si>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</si>
  <si>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</si>
  <si>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</si>
  <si>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</si>
  <si>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</si>
  <si>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</si>
  <si>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</si>
  <si>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</si>
  <si>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</si>
  <si>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</si>
  <si>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</si>
  <si>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</si>
  <si>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</si>
  <si>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</si>
  <si>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</si>
  <si>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</si>
  <si>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</si>
  <si>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</si>
  <si>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</si>
  <si>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</si>
  <si>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</si>
  <si>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</si>
  <si>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</si>
  <si>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</si>
  <si>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</si>
  <si>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</si>
  <si>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</si>
  <si>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</si>
  <si>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</si>
  <si>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</si>
  <si>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</si>
  <si>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</si>
  <si>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</si>
  <si>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</si>
  <si>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</si>
  <si>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</si>
  <si>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</si>
  <si>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</si>
  <si>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</si>
  <si>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</si>
  <si>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</si>
  <si>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</si>
  <si>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</si>
  <si>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</si>
  <si>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</si>
  <si>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</si>
  <si>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</si>
  <si>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</si>
  <si>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</si>
  <si>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</si>
  <si>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</si>
  <si>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</si>
  <si>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</si>
  <si>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</si>
  <si>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</si>
  <si>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</si>
  <si>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</si>
  <si>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</si>
  <si>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</si>
  <si>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</si>
  <si>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</si>
  <si>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</si>
  <si>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</si>
  <si>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</si>
  <si>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</si>
  <si>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</si>
  <si>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</si>
  <si>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</si>
  <si>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</si>
  <si>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</si>
  <si>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</si>
  <si>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</si>
  <si>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</si>
  <si>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</si>
  <si>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</si>
  <si>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</si>
  <si>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</si>
  <si>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</si>
  <si>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</si>
  <si>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</si>
  <si>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</si>
  <si>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</si>
  <si>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</si>
  <si>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</si>
  <si>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</si>
  <si>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</si>
  <si>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</si>
  <si>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</si>
  <si>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</si>
  <si>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</si>
  <si>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</si>
  <si>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</si>
  <si>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</si>
  <si>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</si>
  <si>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</si>
  <si>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</si>
  <si>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</si>
  <si>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</si>
  <si>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</si>
  <si>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</si>
  <si>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</si>
  <si>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</si>
  <si>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</si>
  <si>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</si>
  <si>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</si>
  <si>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</si>
  <si>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</si>
  <si>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</si>
  <si>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</si>
  <si>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</si>
  <si>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</si>
  <si>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</si>
  <si>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</si>
  <si>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</si>
  <si>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</si>
  <si>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</si>
  <si>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</si>
  <si>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</si>
  <si>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</si>
  <si>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</si>
  <si>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</si>
  <si>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</si>
  <si>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</si>
  <si>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</si>
  <si>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</si>
  <si>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</si>
  <si>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</si>
  <si>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</si>
  <si>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</si>
  <si>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</si>
  <si>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</si>
  <si>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</si>
  <si>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</si>
  <si>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</si>
  <si>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</si>
  <si>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</si>
  <si>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</si>
  <si>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</si>
  <si>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</si>
  <si>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</si>
  <si>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</si>
  <si>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</si>
  <si>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</si>
  <si>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</si>
  <si>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</si>
  <si>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</si>
  <si>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</si>
  <si>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</si>
  <si>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</si>
  <si>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</si>
  <si>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</si>
  <si>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</si>
  <si>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</si>
  <si>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</si>
  <si>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</si>
  <si>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</si>
  <si>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</si>
  <si>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</si>
  <si>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</si>
  <si>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</si>
  <si>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</si>
  <si>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</si>
  <si>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</si>
  <si>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</si>
  <si>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</si>
  <si>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13.10.15 </t>
    </r>
    <r>
      <rPr>
        <b/>
        <sz val="10"/>
        <rFont val="Times New Roman"/>
        <family val="1"/>
      </rPr>
      <t>включно</t>
    </r>
  </si>
  <si>
    <t>1310.2015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</si>
</sst>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497047.72</v>
      </c>
      <c r="G8" s="18">
        <f aca="true" t="shared" si="0" ref="G8:G54">F8-E8</f>
        <v>-6477.750000000058</v>
      </c>
      <c r="H8" s="45">
        <f>F8/E8*100</f>
        <v>98.71352088703674</v>
      </c>
      <c r="I8" s="31">
        <f aca="true" t="shared" si="1" ref="I8:I54">F8-D8</f>
        <v>-75241.28000000003</v>
      </c>
      <c r="J8" s="31">
        <f aca="true" t="shared" si="2" ref="J8:J14">F8/D8*100</f>
        <v>86.85257273859885</v>
      </c>
      <c r="K8" s="18">
        <f>K9+K15+K18+K19+K20+K32</f>
        <v>95822.92800000001</v>
      </c>
      <c r="L8" s="18"/>
      <c r="M8" s="18">
        <f>M9+M15+M18+M19+M20+M32+M17</f>
        <v>44772.97000000001</v>
      </c>
      <c r="N8" s="18">
        <f>N9+N15+N18+N19+N20+N32+N17</f>
        <v>16168.470000000061</v>
      </c>
      <c r="O8" s="31">
        <f aca="true" t="shared" si="3" ref="O8:O54">N8-M8</f>
        <v>-28604.49999999995</v>
      </c>
      <c r="P8" s="31">
        <f>F8/M8*100</f>
        <v>1110.1513256770768</v>
      </c>
      <c r="Q8" s="31">
        <f>N8-33748.16</f>
        <v>-17579.689999999944</v>
      </c>
      <c r="R8" s="125">
        <f>N8/33748.16</f>
        <v>0.47909189715824685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275712.7</v>
      </c>
      <c r="G9" s="43">
        <f t="shared" si="0"/>
        <v>5847.580000000016</v>
      </c>
      <c r="H9" s="35">
        <f aca="true" t="shared" si="4" ref="H9:H32">F9/E9*100</f>
        <v>102.16685283374154</v>
      </c>
      <c r="I9" s="50">
        <f t="shared" si="1"/>
        <v>-36977.29999999999</v>
      </c>
      <c r="J9" s="50">
        <f t="shared" si="2"/>
        <v>88.17445393200934</v>
      </c>
      <c r="K9" s="132">
        <f>F9-316022.19/75*60</f>
        <v>22894.948000000004</v>
      </c>
      <c r="L9" s="132">
        <f>F9/(316022.19/75*60)*100</f>
        <v>109.0559099663223</v>
      </c>
      <c r="M9" s="35">
        <f>E9-вересень!E9</f>
        <v>21250.570000000007</v>
      </c>
      <c r="N9" s="35">
        <f>F9-вересень!F9</f>
        <v>11337.290000000037</v>
      </c>
      <c r="O9" s="47">
        <f t="shared" si="3"/>
        <v>-9913.27999999997</v>
      </c>
      <c r="P9" s="50">
        <f aca="true" t="shared" si="5" ref="P9:P32">N9/M9*100</f>
        <v>53.35052189188353</v>
      </c>
      <c r="Q9" s="132">
        <f>N9-26568.11</f>
        <v>-15230.819999999963</v>
      </c>
      <c r="R9" s="133">
        <f>N9/26568.11</f>
        <v>0.42672549910400237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244272.94</v>
      </c>
      <c r="G10" s="135">
        <f t="shared" si="0"/>
        <v>8312.119999999995</v>
      </c>
      <c r="H10" s="137">
        <f t="shared" si="4"/>
        <v>103.52266956861736</v>
      </c>
      <c r="I10" s="136">
        <f t="shared" si="1"/>
        <v>3862.9400000000023</v>
      </c>
      <c r="J10" s="136">
        <f t="shared" si="2"/>
        <v>101.60681336050914</v>
      </c>
      <c r="K10" s="138">
        <f>F10-281171.58/75*60</f>
        <v>19335.676000000007</v>
      </c>
      <c r="L10" s="138">
        <f>F10/(281171.58/75*60)*100</f>
        <v>108.59603058033105</v>
      </c>
      <c r="M10" s="137">
        <f>E10-вересень!E10</f>
        <v>17470.570000000007</v>
      </c>
      <c r="N10" s="137">
        <f>F10-вересень!F10</f>
        <v>10336.459999999992</v>
      </c>
      <c r="O10" s="138">
        <f t="shared" si="3"/>
        <v>-7134.110000000015</v>
      </c>
      <c r="P10" s="136">
        <f t="shared" si="5"/>
        <v>59.16498431361992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14081.44</v>
      </c>
      <c r="G11" s="135">
        <f t="shared" si="0"/>
        <v>-4836.460000000001</v>
      </c>
      <c r="H11" s="137">
        <f t="shared" si="4"/>
        <v>74.43447739971138</v>
      </c>
      <c r="I11" s="136">
        <f t="shared" si="1"/>
        <v>-9618.56</v>
      </c>
      <c r="J11" s="136">
        <f t="shared" si="2"/>
        <v>59.41535864978903</v>
      </c>
      <c r="K11" s="138">
        <f>F11-21169.22/75*60</f>
        <v>-2853.9360000000033</v>
      </c>
      <c r="L11" s="138">
        <f>F11/(21169.22/75*60)*100</f>
        <v>83.14808008986631</v>
      </c>
      <c r="M11" s="137">
        <f>E11-вересень!E11</f>
        <v>2130</v>
      </c>
      <c r="N11" s="137">
        <f>F11-вересень!F11</f>
        <v>78.75</v>
      </c>
      <c r="O11" s="138">
        <f t="shared" si="3"/>
        <v>-2051.25</v>
      </c>
      <c r="P11" s="136">
        <f t="shared" si="5"/>
        <v>3.697183098591549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3919.86</v>
      </c>
      <c r="G12" s="135">
        <f t="shared" si="0"/>
        <v>-529.1399999999999</v>
      </c>
      <c r="H12" s="137">
        <f t="shared" si="4"/>
        <v>88.10654079568442</v>
      </c>
      <c r="I12" s="136">
        <f t="shared" si="1"/>
        <v>-1880.1399999999999</v>
      </c>
      <c r="J12" s="136">
        <f t="shared" si="2"/>
        <v>67.58379310344827</v>
      </c>
      <c r="K12" s="138">
        <f>F12-5687.46/75*60</f>
        <v>-630.1080000000006</v>
      </c>
      <c r="L12" s="138">
        <f>F12/(5687.46*60)*100</f>
        <v>1.1486850017406716</v>
      </c>
      <c r="M12" s="137">
        <f>E12-вересень!E12</f>
        <v>540</v>
      </c>
      <c r="N12" s="137">
        <f>F12-вересень!F12</f>
        <v>175.22000000000025</v>
      </c>
      <c r="O12" s="138">
        <f t="shared" si="3"/>
        <v>-364.77999999999975</v>
      </c>
      <c r="P12" s="136">
        <f t="shared" si="5"/>
        <v>32.44814814814819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5877.07</v>
      </c>
      <c r="G13" s="135">
        <f t="shared" si="0"/>
        <v>-1066.33</v>
      </c>
      <c r="H13" s="137">
        <f t="shared" si="4"/>
        <v>84.64253823775095</v>
      </c>
      <c r="I13" s="136">
        <f t="shared" si="1"/>
        <v>-2522.9300000000003</v>
      </c>
      <c r="J13" s="136">
        <f t="shared" si="2"/>
        <v>69.96511904761904</v>
      </c>
      <c r="K13" s="138">
        <f>F13-7878.81/75*60</f>
        <v>-425.978000000001</v>
      </c>
      <c r="L13" s="138">
        <f>F13/(7878.81/75*60)*100</f>
        <v>93.24171416749482</v>
      </c>
      <c r="M13" s="137">
        <f>E13-вересень!E13</f>
        <v>720</v>
      </c>
      <c r="N13" s="137">
        <f>F13-вересень!F13</f>
        <v>146.82999999999993</v>
      </c>
      <c r="O13" s="138">
        <f t="shared" si="3"/>
        <v>-573.1700000000001</v>
      </c>
      <c r="P13" s="136">
        <f t="shared" si="5"/>
        <v>20.393055555555545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7561.38</v>
      </c>
      <c r="G14" s="135">
        <f t="shared" si="0"/>
        <v>3967.38</v>
      </c>
      <c r="H14" s="137">
        <f t="shared" si="4"/>
        <v>210.3889816360601</v>
      </c>
      <c r="I14" s="136">
        <f t="shared" si="1"/>
        <v>3181.38</v>
      </c>
      <c r="J14" s="136">
        <f t="shared" si="2"/>
        <v>172.63424657534247</v>
      </c>
      <c r="K14" s="138">
        <f>F14-115.12/75*60</f>
        <v>7469.284</v>
      </c>
      <c r="L14" s="138">
        <f>F14/(115.12/75*60)*100</f>
        <v>8210.324009728978</v>
      </c>
      <c r="M14" s="137">
        <f>E14-вересень!E14</f>
        <v>390</v>
      </c>
      <c r="N14" s="137">
        <f>F14-вересень!F14</f>
        <v>600.0200000000004</v>
      </c>
      <c r="O14" s="138">
        <f t="shared" si="3"/>
        <v>210.02000000000044</v>
      </c>
      <c r="P14" s="136">
        <f t="shared" si="5"/>
        <v>153.85128205128217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51616.03</v>
      </c>
      <c r="G19" s="43">
        <f t="shared" si="0"/>
        <v>-5906.720000000001</v>
      </c>
      <c r="H19" s="35">
        <f t="shared" si="4"/>
        <v>89.73150623014372</v>
      </c>
      <c r="I19" s="50">
        <f t="shared" si="1"/>
        <v>-10593.970000000001</v>
      </c>
      <c r="J19" s="178">
        <f>F19/D19*100</f>
        <v>82.97063173123291</v>
      </c>
      <c r="K19" s="179">
        <f>F19-0</f>
        <v>51616.03</v>
      </c>
      <c r="L19" s="180"/>
      <c r="M19" s="35">
        <f>E19-вересень!E19</f>
        <v>6800</v>
      </c>
      <c r="N19" s="35">
        <f>F19-вересень!F19</f>
        <v>147.15999999999622</v>
      </c>
      <c r="O19" s="47">
        <f t="shared" si="3"/>
        <v>-6652.840000000004</v>
      </c>
      <c r="P19" s="50">
        <f t="shared" si="5"/>
        <v>2.164117647058768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164789.37000000002</v>
      </c>
      <c r="G20" s="43">
        <f t="shared" si="0"/>
        <v>-5404.52999999997</v>
      </c>
      <c r="H20" s="35">
        <f t="shared" si="4"/>
        <v>96.82448665904009</v>
      </c>
      <c r="I20" s="50">
        <f t="shared" si="1"/>
        <v>-25080.629999999976</v>
      </c>
      <c r="J20" s="178">
        <f aca="true" t="shared" si="6" ref="J20:J46">F20/D20*100</f>
        <v>86.79063043134778</v>
      </c>
      <c r="K20" s="178">
        <f>K21+K25+K26+K27</f>
        <v>22883.800000000007</v>
      </c>
      <c r="L20" s="136"/>
      <c r="M20" s="35">
        <f>E20-вересень!E20</f>
        <v>16715.5</v>
      </c>
      <c r="N20" s="35">
        <f>F20-вересень!F20</f>
        <v>4682.780000000028</v>
      </c>
      <c r="O20" s="47">
        <f t="shared" si="3"/>
        <v>-12032.719999999972</v>
      </c>
      <c r="P20" s="50">
        <f t="shared" si="5"/>
        <v>28.01459723011593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90327.73000000001</v>
      </c>
      <c r="G21" s="43">
        <f t="shared" si="0"/>
        <v>-5954.669999999984</v>
      </c>
      <c r="H21" s="35">
        <f t="shared" si="4"/>
        <v>93.8154117471106</v>
      </c>
      <c r="I21" s="50">
        <f t="shared" si="1"/>
        <v>-19972.26999999999</v>
      </c>
      <c r="J21" s="178">
        <f t="shared" si="6"/>
        <v>81.8927742520399</v>
      </c>
      <c r="K21" s="178">
        <f>K22+K23+K24</f>
        <v>21623.89000000001</v>
      </c>
      <c r="L21" s="136"/>
      <c r="M21" s="35">
        <f>E21-вересень!E21</f>
        <v>10382</v>
      </c>
      <c r="N21" s="35">
        <f>F21-вересень!F21</f>
        <v>1348.410000000018</v>
      </c>
      <c r="O21" s="47">
        <f t="shared" si="3"/>
        <v>-9033.589999999982</v>
      </c>
      <c r="P21" s="50">
        <f t="shared" si="5"/>
        <v>12.987959930649373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9527.17</v>
      </c>
      <c r="G22" s="135">
        <f t="shared" si="0"/>
        <v>-1118.2299999999996</v>
      </c>
      <c r="H22" s="137">
        <f t="shared" si="4"/>
        <v>89.49565070359029</v>
      </c>
      <c r="I22" s="136">
        <f t="shared" si="1"/>
        <v>-1172.83</v>
      </c>
      <c r="J22" s="136">
        <f t="shared" si="6"/>
        <v>89.03897196261681</v>
      </c>
      <c r="K22" s="136">
        <f>F22-437</f>
        <v>9090.17</v>
      </c>
      <c r="L22" s="136">
        <f>F22/437*100</f>
        <v>2180.1304347826085</v>
      </c>
      <c r="M22" s="137">
        <f>E22-вересень!E22</f>
        <v>1851</v>
      </c>
      <c r="N22" s="137">
        <f>F22-вересень!F22</f>
        <v>395.4899999999998</v>
      </c>
      <c r="O22" s="138">
        <f t="shared" si="3"/>
        <v>-1455.5100000000002</v>
      </c>
      <c r="P22" s="136">
        <f t="shared" si="5"/>
        <v>21.366288492706634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3375.74</v>
      </c>
      <c r="G23" s="135">
        <f t="shared" si="0"/>
        <v>1283.7399999999998</v>
      </c>
      <c r="H23" s="137">
        <f t="shared" si="4"/>
        <v>161.3642447418738</v>
      </c>
      <c r="I23" s="136">
        <f t="shared" si="1"/>
        <v>1275.7399999999998</v>
      </c>
      <c r="J23" s="136">
        <f t="shared" si="6"/>
        <v>160.74952380952382</v>
      </c>
      <c r="K23" s="136">
        <f>F23-0</f>
        <v>3375.74</v>
      </c>
      <c r="L23" s="136"/>
      <c r="M23" s="137">
        <f>E23-вересень!E23</f>
        <v>305</v>
      </c>
      <c r="N23" s="137">
        <f>F23-вересень!F23</f>
        <v>42.10999999999967</v>
      </c>
      <c r="O23" s="138">
        <f t="shared" si="3"/>
        <v>-262.8900000000003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77424.82</v>
      </c>
      <c r="G24" s="135">
        <f t="shared" si="0"/>
        <v>-6120.179999999993</v>
      </c>
      <c r="H24" s="137">
        <f t="shared" si="4"/>
        <v>92.67439104674129</v>
      </c>
      <c r="I24" s="136">
        <f t="shared" si="1"/>
        <v>-20075.179999999993</v>
      </c>
      <c r="J24" s="136">
        <f t="shared" si="6"/>
        <v>79.41007179487181</v>
      </c>
      <c r="K24" s="224">
        <f>F24-68266.84</f>
        <v>9157.98000000001</v>
      </c>
      <c r="L24" s="224">
        <f>F24/68266.84*100</f>
        <v>113.41497570416325</v>
      </c>
      <c r="M24" s="137">
        <f>E24-вересень!E24</f>
        <v>8226</v>
      </c>
      <c r="N24" s="137">
        <f>F24-вересень!F24</f>
        <v>910.8100000000122</v>
      </c>
      <c r="O24" s="138">
        <f t="shared" si="3"/>
        <v>-7315.189999999988</v>
      </c>
      <c r="P24" s="136">
        <f t="shared" si="5"/>
        <v>11.072331631412743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-728.11</v>
      </c>
      <c r="G26" s="43">
        <f t="shared" si="0"/>
        <v>-728.11</v>
      </c>
      <c r="H26" s="35"/>
      <c r="I26" s="50">
        <f t="shared" si="1"/>
        <v>-728.11</v>
      </c>
      <c r="J26" s="136"/>
      <c r="K26" s="178">
        <f>F26-5295.66</f>
        <v>-6023.7699999999995</v>
      </c>
      <c r="L26" s="178">
        <f>F26/5295.66*100</f>
        <v>-13.749183293489386</v>
      </c>
      <c r="M26" s="35">
        <f>E26-вересень!E26</f>
        <v>0</v>
      </c>
      <c r="N26" s="35">
        <f>F26-вересень!F26</f>
        <v>-22.129999999999995</v>
      </c>
      <c r="O26" s="47">
        <f t="shared" si="3"/>
        <v>-22.129999999999995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75133.9</v>
      </c>
      <c r="G27" s="43">
        <f t="shared" si="0"/>
        <v>1273.8999999999942</v>
      </c>
      <c r="H27" s="35">
        <f t="shared" si="4"/>
        <v>101.72474952613051</v>
      </c>
      <c r="I27" s="50">
        <f t="shared" si="1"/>
        <v>-4366.100000000006</v>
      </c>
      <c r="J27" s="178">
        <f t="shared" si="6"/>
        <v>94.5080503144654</v>
      </c>
      <c r="K27" s="132">
        <f>F27-67857.28</f>
        <v>7276.619999999995</v>
      </c>
      <c r="L27" s="132">
        <f>F27/67857.28*100</f>
        <v>110.72341832740716</v>
      </c>
      <c r="M27" s="35">
        <f>E27-вересень!E27</f>
        <v>6323.5</v>
      </c>
      <c r="N27" s="35">
        <f>F27-вересень!F27</f>
        <v>3356.5</v>
      </c>
      <c r="O27" s="47">
        <f t="shared" si="3"/>
        <v>-2967</v>
      </c>
      <c r="P27" s="50">
        <f t="shared" si="5"/>
        <v>53.07978176642683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18089.27</v>
      </c>
      <c r="G29" s="135">
        <f t="shared" si="0"/>
        <v>9.270000000000437</v>
      </c>
      <c r="H29" s="137">
        <f t="shared" si="4"/>
        <v>100.0512721238938</v>
      </c>
      <c r="I29" s="136">
        <f t="shared" si="1"/>
        <v>-1110.7299999999996</v>
      </c>
      <c r="J29" s="136">
        <f t="shared" si="6"/>
        <v>94.21494791666667</v>
      </c>
      <c r="K29" s="139">
        <f>F29-18415.97</f>
        <v>-326.7000000000007</v>
      </c>
      <c r="L29" s="139">
        <f>F29/18415.97*100</f>
        <v>98.22599624130578</v>
      </c>
      <c r="M29" s="137">
        <f>E29-вересень!E29</f>
        <v>1300</v>
      </c>
      <c r="N29" s="137">
        <f>F29-вересень!F29</f>
        <v>349.51000000000204</v>
      </c>
      <c r="O29" s="138">
        <f t="shared" si="3"/>
        <v>-950.489999999998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57022.96</v>
      </c>
      <c r="G30" s="135">
        <f t="shared" si="0"/>
        <v>1242.9599999999991</v>
      </c>
      <c r="H30" s="137">
        <f t="shared" si="4"/>
        <v>102.22832556471853</v>
      </c>
      <c r="I30" s="136">
        <f t="shared" si="1"/>
        <v>-3277.040000000001</v>
      </c>
      <c r="J30" s="136">
        <f t="shared" si="6"/>
        <v>94.56543946932007</v>
      </c>
      <c r="K30" s="139">
        <f>F30-49440.11</f>
        <v>7582.8499999999985</v>
      </c>
      <c r="L30" s="139">
        <f>F30/49440.11*100</f>
        <v>115.3374456488871</v>
      </c>
      <c r="M30" s="137">
        <f>E30-вересень!E30</f>
        <v>5023.5</v>
      </c>
      <c r="N30" s="137">
        <f>F30-вересень!F30</f>
        <v>3006.989999999998</v>
      </c>
      <c r="O30" s="138">
        <f t="shared" si="3"/>
        <v>-2016.510000000002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5580.42</v>
      </c>
      <c r="G32" s="43">
        <f t="shared" si="0"/>
        <v>-178.8800000000001</v>
      </c>
      <c r="H32" s="35">
        <f t="shared" si="4"/>
        <v>96.89406698730748</v>
      </c>
      <c r="I32" s="50">
        <f t="shared" si="1"/>
        <v>-1919.58</v>
      </c>
      <c r="J32" s="178">
        <f t="shared" si="6"/>
        <v>74.4056</v>
      </c>
      <c r="K32" s="178">
        <f>F32-7378.96</f>
        <v>-1798.54</v>
      </c>
      <c r="L32" s="178">
        <f>F32/7378.96*100</f>
        <v>75.62610449168989</v>
      </c>
      <c r="M32" s="35">
        <f>E32-вересень!E32</f>
        <v>6.900000000000546</v>
      </c>
      <c r="N32" s="35">
        <f>F32-вересень!F32</f>
        <v>1.2399999999997817</v>
      </c>
      <c r="O32" s="47">
        <f t="shared" si="3"/>
        <v>-5.660000000000764</v>
      </c>
      <c r="P32" s="50">
        <f t="shared" si="5"/>
        <v>17.97101449274904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34064.869999999995</v>
      </c>
      <c r="G33" s="44">
        <f t="shared" si="0"/>
        <v>1514.599999999995</v>
      </c>
      <c r="H33" s="45">
        <f aca="true" t="shared" si="7" ref="H33:H38">F33/E33*100</f>
        <v>104.65311040430691</v>
      </c>
      <c r="I33" s="31">
        <f t="shared" si="1"/>
        <v>-1574.7000000000044</v>
      </c>
      <c r="J33" s="31">
        <f t="shared" si="6"/>
        <v>95.58159652319036</v>
      </c>
      <c r="K33" s="18">
        <f>K34+K35+K36+K37+K38+K41+K42+K47+K48+K52+K40</f>
        <v>23276.7</v>
      </c>
      <c r="L33" s="18"/>
      <c r="M33" s="18">
        <f>M34+M35+M36+M37+M38+M41+M42+M47+M48+M52+M40+M39</f>
        <v>5900.27</v>
      </c>
      <c r="N33" s="18">
        <f>N34+N35+N36+N37+N38+N41+N42+N47+N48+N52+N40+N39</f>
        <v>5820.240000000001</v>
      </c>
      <c r="O33" s="49">
        <f t="shared" si="3"/>
        <v>-80.02999999999975</v>
      </c>
      <c r="P33" s="31">
        <f>N33/M33*100</f>
        <v>98.64362139359724</v>
      </c>
      <c r="Q33" s="31">
        <f>N33-1017.63</f>
        <v>4802.610000000001</v>
      </c>
      <c r="R33" s="127">
        <f>N33/1017.63</f>
        <v>5.719406857109166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328.56</v>
      </c>
      <c r="G36" s="43">
        <f t="shared" si="0"/>
        <v>88.56</v>
      </c>
      <c r="H36" s="35">
        <f t="shared" si="7"/>
        <v>136.9</v>
      </c>
      <c r="I36" s="50">
        <f t="shared" si="1"/>
        <v>88.56</v>
      </c>
      <c r="J36" s="50"/>
      <c r="K36" s="50">
        <f>F36-279.6</f>
        <v>48.95999999999998</v>
      </c>
      <c r="L36" s="50">
        <f>F36/279.6*100</f>
        <v>117.5107296137339</v>
      </c>
      <c r="M36" s="35">
        <f>E36-вересень!E36</f>
        <v>0</v>
      </c>
      <c r="N36" s="35">
        <f>F36-вересень!F36</f>
        <v>6.579999999999984</v>
      </c>
      <c r="O36" s="47">
        <f t="shared" si="3"/>
        <v>6.579999999999984</v>
      </c>
      <c r="P36" s="50"/>
      <c r="Q36" s="50">
        <f>N36-4.23</f>
        <v>2.3499999999999837</v>
      </c>
      <c r="R36" s="126">
        <f>N36/4.23</f>
        <v>1.5555555555555516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118.33</v>
      </c>
      <c r="G38" s="43">
        <f t="shared" si="0"/>
        <v>-1.6700000000000017</v>
      </c>
      <c r="H38" s="35">
        <f t="shared" si="7"/>
        <v>98.60833333333333</v>
      </c>
      <c r="I38" s="50">
        <f t="shared" si="1"/>
        <v>-21.67</v>
      </c>
      <c r="J38" s="50">
        <f t="shared" si="6"/>
        <v>84.52142857142857</v>
      </c>
      <c r="K38" s="50">
        <f>F38-112.45</f>
        <v>5.8799999999999955</v>
      </c>
      <c r="L38" s="50">
        <f>F38/112.45*100</f>
        <v>105.22899066251668</v>
      </c>
      <c r="M38" s="35">
        <f>E38-вересень!E38</f>
        <v>15</v>
      </c>
      <c r="N38" s="35">
        <f>F38-вересень!F38</f>
        <v>1.2199999999999989</v>
      </c>
      <c r="O38" s="47">
        <f t="shared" si="3"/>
        <v>-13.780000000000001</v>
      </c>
      <c r="P38" s="50">
        <f>N38/M38*100</f>
        <v>8.133333333333326</v>
      </c>
      <c r="Q38" s="50">
        <f>N38-9.02</f>
        <v>-7.800000000000001</v>
      </c>
      <c r="R38" s="126">
        <f>N38/9.02</f>
        <v>0.1352549889135254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7928.43</v>
      </c>
      <c r="G40" s="43">
        <f t="shared" si="0"/>
        <v>-908.5699999999997</v>
      </c>
      <c r="H40" s="35">
        <f aca="true" t="shared" si="8" ref="H40:H46">F40/E40*100</f>
        <v>89.71856965033382</v>
      </c>
      <c r="I40" s="50">
        <f t="shared" si="1"/>
        <v>-1071.5699999999997</v>
      </c>
      <c r="J40" s="50"/>
      <c r="K40" s="50">
        <f>F40-0</f>
        <v>7928.43</v>
      </c>
      <c r="L40" s="50"/>
      <c r="M40" s="35">
        <f>E40-вересень!E40</f>
        <v>900</v>
      </c>
      <c r="N40" s="35">
        <f>F40-вересень!F40</f>
        <v>322.97000000000025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5910.3</v>
      </c>
      <c r="G42" s="43">
        <f t="shared" si="0"/>
        <v>-481</v>
      </c>
      <c r="H42" s="35">
        <f t="shared" si="8"/>
        <v>92.47414454023438</v>
      </c>
      <c r="I42" s="50">
        <f t="shared" si="1"/>
        <v>-1189.6999999999998</v>
      </c>
      <c r="J42" s="50">
        <f t="shared" si="6"/>
        <v>83.24366197183099</v>
      </c>
      <c r="K42" s="50">
        <f>F42-865.17</f>
        <v>5045.13</v>
      </c>
      <c r="L42" s="50">
        <f>F42/865.17*100</f>
        <v>683.1374180796838</v>
      </c>
      <c r="M42" s="35">
        <f>E42-вересень!E42</f>
        <v>592.3000000000002</v>
      </c>
      <c r="N42" s="35">
        <f>F42-вересень!F42</f>
        <v>188.35000000000036</v>
      </c>
      <c r="O42" s="47">
        <f t="shared" si="3"/>
        <v>-403.9499999999998</v>
      </c>
      <c r="P42" s="50">
        <f>N42/M42*100</f>
        <v>31.799763633293992</v>
      </c>
      <c r="Q42" s="50">
        <f>N42-79.51</f>
        <v>108.84000000000036</v>
      </c>
      <c r="R42" s="126">
        <f>N42/79.51</f>
        <v>2.368884417054463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825.51</v>
      </c>
      <c r="G43" s="135">
        <f t="shared" si="0"/>
        <v>-84.49000000000001</v>
      </c>
      <c r="H43" s="35">
        <f t="shared" si="8"/>
        <v>90.71538461538461</v>
      </c>
      <c r="I43" s="136">
        <f t="shared" si="1"/>
        <v>-274.49</v>
      </c>
      <c r="J43" s="136">
        <f t="shared" si="6"/>
        <v>75.04636363636364</v>
      </c>
      <c r="K43" s="136">
        <f>F43-757.36</f>
        <v>68.14999999999998</v>
      </c>
      <c r="L43" s="136">
        <f>F43/757.36*100</f>
        <v>108.99836273370656</v>
      </c>
      <c r="M43" s="137">
        <f>E43-вересень!E43</f>
        <v>70</v>
      </c>
      <c r="N43" s="137">
        <f>F43-вересень!F43</f>
        <v>23.66999999999996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5039.97</v>
      </c>
      <c r="G46" s="135">
        <f t="shared" si="0"/>
        <v>-370.02999999999975</v>
      </c>
      <c r="H46" s="35">
        <f t="shared" si="8"/>
        <v>93.16025878003697</v>
      </c>
      <c r="I46" s="136">
        <f t="shared" si="1"/>
        <v>-878.0299999999997</v>
      </c>
      <c r="J46" s="136">
        <f t="shared" si="6"/>
        <v>85.1633997972288</v>
      </c>
      <c r="K46" s="136">
        <f>F46-107.81</f>
        <v>4932.16</v>
      </c>
      <c r="L46" s="136">
        <f>F46/107.81*100</f>
        <v>4674.863185233281</v>
      </c>
      <c r="M46" s="137">
        <f>E46-вересень!E46</f>
        <v>512</v>
      </c>
      <c r="N46" s="137">
        <f>F46-вересень!F46</f>
        <v>164.6800000000003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3883.92</v>
      </c>
      <c r="G48" s="43">
        <f t="shared" si="0"/>
        <v>433.9200000000001</v>
      </c>
      <c r="H48" s="35">
        <f>F48/E48*100</f>
        <v>112.57739130434783</v>
      </c>
      <c r="I48" s="50">
        <f t="shared" si="1"/>
        <v>-316.0799999999999</v>
      </c>
      <c r="J48" s="50">
        <f>F48/D48*100</f>
        <v>92.47428571428571</v>
      </c>
      <c r="K48" s="50">
        <f>F48-3446.94</f>
        <v>436.98</v>
      </c>
      <c r="L48" s="50">
        <f>F48/3446.94*100</f>
        <v>112.67733119810615</v>
      </c>
      <c r="M48" s="35">
        <f>E48-вересень!E48</f>
        <v>360</v>
      </c>
      <c r="N48" s="35">
        <f>F48-вересень!F48</f>
        <v>312.47000000000025</v>
      </c>
      <c r="O48" s="47">
        <f t="shared" si="3"/>
        <v>-47.529999999999745</v>
      </c>
      <c r="P48" s="50">
        <f aca="true" t="shared" si="9" ref="P48:P53">N48/M48*100</f>
        <v>86.79722222222229</v>
      </c>
      <c r="Q48" s="50">
        <f>N48-277.38</f>
        <v>35.09000000000026</v>
      </c>
      <c r="R48" s="126">
        <f>N48/277.38</f>
        <v>1.1265051553825087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1027.6</v>
      </c>
      <c r="G51" s="135">
        <f t="shared" si="0"/>
        <v>1027.6</v>
      </c>
      <c r="H51" s="137"/>
      <c r="I51" s="136">
        <f t="shared" si="1"/>
        <v>1027.6</v>
      </c>
      <c r="J51" s="136"/>
      <c r="K51" s="219">
        <f>F51-838.39</f>
        <v>189.20999999999992</v>
      </c>
      <c r="L51" s="219">
        <f>F51/838.39*100</f>
        <v>122.56825582366201</v>
      </c>
      <c r="M51" s="35">
        <f>E51-вересень!E51</f>
        <v>0</v>
      </c>
      <c r="N51" s="35">
        <f>F51-вересень!F51</f>
        <v>48.399999999999864</v>
      </c>
      <c r="O51" s="138">
        <f t="shared" si="3"/>
        <v>48.399999999999864</v>
      </c>
      <c r="P51" s="136"/>
      <c r="Q51" s="50">
        <f>N51-64.93</f>
        <v>-16.530000000000143</v>
      </c>
      <c r="R51" s="126">
        <f>N51/64.93</f>
        <v>0.7454181426151218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531131.3200000001</v>
      </c>
      <c r="G55" s="44">
        <f>F55-E55</f>
        <v>-4966.019999999902</v>
      </c>
      <c r="H55" s="45">
        <f>F55/E55*100</f>
        <v>99.07367195666372</v>
      </c>
      <c r="I55" s="31">
        <f>F55-D55</f>
        <v>-76823.74999999988</v>
      </c>
      <c r="J55" s="31">
        <f>F55/D55*100</f>
        <v>87.36358099620752</v>
      </c>
      <c r="K55" s="31">
        <f>K8+K33+K53+K54</f>
        <v>119096.27800000002</v>
      </c>
      <c r="L55" s="31">
        <f>F55/(F55-K55)*100</f>
        <v>128.90440517435408</v>
      </c>
      <c r="M55" s="18">
        <f>M8+M33+M53+M54</f>
        <v>50675.44</v>
      </c>
      <c r="N55" s="18">
        <f>N8+N33+N53+N54</f>
        <v>21992.71000000006</v>
      </c>
      <c r="O55" s="49">
        <f>N55-M55</f>
        <v>-28682.72999999994</v>
      </c>
      <c r="P55" s="31">
        <f>N55/M55*100</f>
        <v>43.399149568311714</v>
      </c>
      <c r="Q55" s="31">
        <f>N55-34768</f>
        <v>-12775.289999999939</v>
      </c>
      <c r="R55" s="171">
        <f>N55/34768</f>
        <v>0.6325560860561453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6497.64</v>
      </c>
      <c r="G65" s="43">
        <f t="shared" si="10"/>
        <v>-238.33999999999924</v>
      </c>
      <c r="H65" s="35">
        <f>F65/E65*100</f>
        <v>96.46168783161471</v>
      </c>
      <c r="I65" s="53">
        <f t="shared" si="11"/>
        <v>-5078.36</v>
      </c>
      <c r="J65" s="53">
        <f t="shared" si="13"/>
        <v>56.130269523151355</v>
      </c>
      <c r="K65" s="53">
        <f>F65-2762.1</f>
        <v>3735.5400000000004</v>
      </c>
      <c r="L65" s="53">
        <f>F65/2762.1*100</f>
        <v>235.24275008145977</v>
      </c>
      <c r="M65" s="35">
        <f>E65-вересень!E65</f>
        <v>1273.8199999999997</v>
      </c>
      <c r="N65" s="35">
        <f>F65-вересень!F65</f>
        <v>2510.01</v>
      </c>
      <c r="O65" s="47">
        <f t="shared" si="12"/>
        <v>1236.1900000000005</v>
      </c>
      <c r="P65" s="53">
        <f>N65/M65*100</f>
        <v>197.04589345433428</v>
      </c>
      <c r="Q65" s="53">
        <f>N65-450.01</f>
        <v>2060</v>
      </c>
      <c r="R65" s="129">
        <f>N65/450.01</f>
        <v>5.577676051643297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8949.83</v>
      </c>
      <c r="G67" s="55">
        <f t="shared" si="10"/>
        <v>-719.0499999999993</v>
      </c>
      <c r="H67" s="65">
        <f>F67/E67*100</f>
        <v>92.56325448242197</v>
      </c>
      <c r="I67" s="54">
        <f t="shared" si="11"/>
        <v>-8126.17</v>
      </c>
      <c r="J67" s="54">
        <f t="shared" si="13"/>
        <v>52.41174748184586</v>
      </c>
      <c r="K67" s="54">
        <f>K64+K65+K66</f>
        <v>3298.9200000000005</v>
      </c>
      <c r="L67" s="54"/>
      <c r="M67" s="55">
        <f>M64+M65+M66</f>
        <v>1421.9199999999998</v>
      </c>
      <c r="N67" s="55">
        <f>N64+N65+N66</f>
        <v>2510.0200000000004</v>
      </c>
      <c r="O67" s="54">
        <f t="shared" si="12"/>
        <v>1088.1000000000006</v>
      </c>
      <c r="P67" s="54">
        <f>N67/M67*100</f>
        <v>176.5232924496456</v>
      </c>
      <c r="Q67" s="54">
        <f>N67-7985.28</f>
        <v>-5475.259999999999</v>
      </c>
      <c r="R67" s="173">
        <f>N67/7985.28</f>
        <v>0.31433086879858946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8926.29</v>
      </c>
      <c r="G74" s="44">
        <f>F74-E74</f>
        <v>-825.0099999999984</v>
      </c>
      <c r="H74" s="45">
        <f>F74/E74*100</f>
        <v>91.5394870427533</v>
      </c>
      <c r="I74" s="31">
        <f>F74-D74</f>
        <v>-8245.71</v>
      </c>
      <c r="J74" s="31">
        <f>F74/D74*100</f>
        <v>51.98165618448638</v>
      </c>
      <c r="K74" s="31">
        <f>K62+K67+K71+K72</f>
        <v>2923.120000000001</v>
      </c>
      <c r="L74" s="31"/>
      <c r="M74" s="27">
        <f>M62+M72+M67+M71</f>
        <v>1435.12</v>
      </c>
      <c r="N74" s="27">
        <f>N62+N72+N67+N71+N73</f>
        <v>2507.4100000000003</v>
      </c>
      <c r="O74" s="31">
        <f>N74-M74</f>
        <v>1072.2900000000004</v>
      </c>
      <c r="P74" s="31">
        <f>N74/M74*100</f>
        <v>174.71779363398184</v>
      </c>
      <c r="Q74" s="31">
        <f>N74-8104.96</f>
        <v>-5597.549999999999</v>
      </c>
      <c r="R74" s="127">
        <f>N74/8104.96</f>
        <v>0.30936735036323443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540057.6100000001</v>
      </c>
      <c r="G75" s="44">
        <f>F75-E75</f>
        <v>-5791.0299999999115</v>
      </c>
      <c r="H75" s="45">
        <f>F75/E75*100</f>
        <v>98.93907769010839</v>
      </c>
      <c r="I75" s="31">
        <f>F75-D75</f>
        <v>-85069.45999999985</v>
      </c>
      <c r="J75" s="31">
        <f>F75/D75*100</f>
        <v>86.39165314021679</v>
      </c>
      <c r="K75" s="31">
        <f>K55+K74</f>
        <v>122019.39800000002</v>
      </c>
      <c r="L75" s="31">
        <f>F75/(F75-K75)*100</f>
        <v>129.1885752300558</v>
      </c>
      <c r="M75" s="18">
        <f>M55+M74</f>
        <v>52110.560000000005</v>
      </c>
      <c r="N75" s="18">
        <f>N55+N74</f>
        <v>24500.12000000006</v>
      </c>
      <c r="O75" s="31">
        <f>N75-M75</f>
        <v>-27610.439999999944</v>
      </c>
      <c r="P75" s="31">
        <f>N75/M75*100</f>
        <v>47.01565287342922</v>
      </c>
      <c r="Q75" s="31">
        <f>N75-42872.96</f>
        <v>-18372.83999999994</v>
      </c>
      <c r="R75" s="127">
        <f>N75/42872.96</f>
        <v>0.5714585603606577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12</v>
      </c>
      <c r="D77" s="4" t="s">
        <v>118</v>
      </c>
    </row>
    <row r="78" spans="2:17" ht="31.5">
      <c r="B78" s="71" t="s">
        <v>154</v>
      </c>
      <c r="C78" s="34">
        <f>IF(O55&lt;0,ABS(O55/C77),0)</f>
        <v>2390.227499999995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 t="s">
        <v>315</v>
      </c>
      <c r="D79" s="34">
        <v>2189.1</v>
      </c>
      <c r="G79" s="4" t="s">
        <v>166</v>
      </c>
      <c r="N79" s="236"/>
      <c r="O79" s="236"/>
    </row>
    <row r="80" spans="3:15" ht="15.75">
      <c r="C80" s="111">
        <v>42289</v>
      </c>
      <c r="D80" s="34">
        <v>1284.6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42286</v>
      </c>
      <c r="D81" s="34">
        <v>1843.9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0.019370000000000002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2015-10-13T07:31:54Z</cp:lastPrinted>
  <dcterms:created xsi:type="dcterms:W3CDTF">2003-07-28T11:27:56Z</dcterms:created>
  <dcterms:modified xsi:type="dcterms:W3CDTF">2015-10-15T07:52:49Z</dcterms:modified>
  <cp:category/>
  <cp:version/>
  <cp:contentType/>
  <cp:contentStatus/>
</cp:coreProperties>
</file>